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7260" activeTab="0"/>
  </bookViews>
  <sheets>
    <sheet name="budget" sheetId="1" r:id="rId1"/>
    <sheet name="cap inv." sheetId="2" r:id="rId2"/>
  </sheets>
  <definedNames>
    <definedName name="_xlnm.Print_Area" localSheetId="0">'budget'!$A$1:$G$51</definedName>
    <definedName name="_xlnm.Print_Area" localSheetId="1">'cap inv.'!$A$1:$J$36</definedName>
  </definedNames>
  <calcPr fullCalcOnLoad="1"/>
</workbook>
</file>

<file path=xl/sharedStrings.xml><?xml version="1.0" encoding="utf-8"?>
<sst xmlns="http://schemas.openxmlformats.org/spreadsheetml/2006/main" count="123" uniqueCount="111">
  <si>
    <t>Item</t>
  </si>
  <si>
    <t>Feed Shed</t>
  </si>
  <si>
    <t>Bush Hog 5'</t>
  </si>
  <si>
    <t>Feeder</t>
  </si>
  <si>
    <t>Feed storage Tank</t>
  </si>
  <si>
    <t>D.O. Meter</t>
  </si>
  <si>
    <t>Water Quality Test Kit</t>
  </si>
  <si>
    <t>PTO Aerators</t>
  </si>
  <si>
    <t>Well</t>
  </si>
  <si>
    <t>Well Pump + Motor</t>
  </si>
  <si>
    <t>Electrical Hookups</t>
  </si>
  <si>
    <t>Pond and Drainage</t>
  </si>
  <si>
    <t>Other</t>
  </si>
  <si>
    <t>Price/Unit</t>
  </si>
  <si>
    <t>No. Units</t>
  </si>
  <si>
    <t>Total Cost</t>
  </si>
  <si>
    <t>Capital Investment For Catfish Operation</t>
  </si>
  <si>
    <t>Number of ponds</t>
  </si>
  <si>
    <t>Pond Depth</t>
  </si>
  <si>
    <t>Totals</t>
  </si>
  <si>
    <t>5'</t>
  </si>
  <si>
    <t>Pond Size (Acres)</t>
  </si>
  <si>
    <t>Assumptions</t>
  </si>
  <si>
    <t xml:space="preserve"> - No additional Land Purchased</t>
  </si>
  <si>
    <t xml:space="preserve"> - Market for fish exists</t>
  </si>
  <si>
    <t xml:space="preserve"> - fingerlings are 7'' and weigh 91 lbs./1000</t>
  </si>
  <si>
    <t xml:space="preserve"> - All equipment is charged 100 percent to the catfish operation.</t>
  </si>
  <si>
    <t>Catfish Enterprise Budget for 4 - 8-Acre Ponds</t>
  </si>
  <si>
    <t>Each</t>
  </si>
  <si>
    <t>Unit</t>
  </si>
  <si>
    <t>Quantity</t>
  </si>
  <si>
    <t>1. Gross Receipts</t>
  </si>
  <si>
    <t>Catfish</t>
  </si>
  <si>
    <t>2. Variable Cost</t>
  </si>
  <si>
    <t>Fingerlings</t>
  </si>
  <si>
    <t>Chemicals</t>
  </si>
  <si>
    <t>Tractor (Fuel&amp;Oil)</t>
  </si>
  <si>
    <t>Machinery(R&amp;M)</t>
  </si>
  <si>
    <t>Interest on Oper.Cap.</t>
  </si>
  <si>
    <t>Total Operating Cost</t>
  </si>
  <si>
    <t>Harvest Expenses</t>
  </si>
  <si>
    <t>Hauling</t>
  </si>
  <si>
    <t xml:space="preserve">Harvest </t>
  </si>
  <si>
    <t>Total Harvest Cost</t>
  </si>
  <si>
    <t>Total Variable Cost</t>
  </si>
  <si>
    <t>Fixed Cost</t>
  </si>
  <si>
    <t>Tractor+Machinery</t>
  </si>
  <si>
    <t>Total Fixed Cost</t>
  </si>
  <si>
    <t>Total All Expenses</t>
  </si>
  <si>
    <t>lbs. feed /lb. Weight gain</t>
  </si>
  <si>
    <t>Final weight lb.</t>
  </si>
  <si>
    <t>%mortality/unharvested fish</t>
  </si>
  <si>
    <t>lbs./1000 beginning weight</t>
  </si>
  <si>
    <t>day growing season</t>
  </si>
  <si>
    <t>growing cycles/year</t>
  </si>
  <si>
    <t>Acre</t>
  </si>
  <si>
    <t>Total Acreage</t>
  </si>
  <si>
    <t>Per Acre</t>
  </si>
  <si>
    <t>% Death Loss</t>
  </si>
  <si>
    <t>Labor</t>
  </si>
  <si>
    <t>% Salv.</t>
  </si>
  <si>
    <t>Life-yrs.</t>
  </si>
  <si>
    <t>Depreciation</t>
  </si>
  <si>
    <t>Interest</t>
  </si>
  <si>
    <t>Tax&amp;Ins.</t>
  </si>
  <si>
    <t>Total</t>
  </si>
  <si>
    <t>Interest Rate</t>
  </si>
  <si>
    <t>Taxes &amp; Insurance</t>
  </si>
  <si>
    <t>Bldg. + Equipment</t>
  </si>
  <si>
    <t>Ton</t>
  </si>
  <si>
    <t>Hour</t>
  </si>
  <si>
    <t>lb.</t>
  </si>
  <si>
    <t>Tractor+Machinery*</t>
  </si>
  <si>
    <t>Building &amp; Equipment*</t>
  </si>
  <si>
    <t>Unit Cost</t>
  </si>
  <si>
    <t>Unit Price</t>
  </si>
  <si>
    <t>Repair Cost</t>
  </si>
  <si>
    <t>Average Equip Life-Yrs.</t>
  </si>
  <si>
    <t>Feed(32%)</t>
  </si>
  <si>
    <t>$/lb.</t>
  </si>
  <si>
    <t>Breakeven Cost All Expenses</t>
  </si>
  <si>
    <t xml:space="preserve">Breakeven Cost Variable Expenses-$/lb. </t>
  </si>
  <si>
    <t>cycle</t>
  </si>
  <si>
    <t>* See cap inv worksheet for capital investment details</t>
  </si>
  <si>
    <t>Brown cells can be changed for sensitivity analysis</t>
  </si>
  <si>
    <t>Labor Hours/Day</t>
  </si>
  <si>
    <t>Hourly Rate</t>
  </si>
  <si>
    <t>cycles/yr</t>
  </si>
  <si>
    <t>3/4 Ton Truck Used</t>
  </si>
  <si>
    <t>Tractor 50 HP(Used)</t>
  </si>
  <si>
    <t>Utilities</t>
  </si>
  <si>
    <t>kwh</t>
  </si>
  <si>
    <t>Electric Aerators(10 HP)</t>
  </si>
  <si>
    <t>Aerator HP</t>
  </si>
  <si>
    <t>Net IncomeAbove Variable Expenses</t>
  </si>
  <si>
    <t>Total Value</t>
  </si>
  <si>
    <t xml:space="preserve"> - All ponds are monitored with D.O. Monitoring System and water testing kit.</t>
  </si>
  <si>
    <t>Net Returns at high, average and low prices last 3 years</t>
  </si>
  <si>
    <t>Lowest price = 0.59</t>
  </si>
  <si>
    <t>Avg. Price last 3 years =0.74</t>
  </si>
  <si>
    <t>Highest price =0.79</t>
  </si>
  <si>
    <t>interest is for 8 month duration</t>
  </si>
  <si>
    <t>Net IncomeAbove all Specified Costs</t>
  </si>
  <si>
    <t>Hrs. Aerators in Use/Day</t>
  </si>
  <si>
    <t>Days Aerators in Use</t>
  </si>
  <si>
    <t xml:space="preserve"> - Electric Aeration is used 10 Hrs/day 120 days</t>
  </si>
  <si>
    <t xml:space="preserve"> - fish loss of fingerlings is 12%</t>
  </si>
  <si>
    <t xml:space="preserve"> - 2 PTO driven aerators are used for emergencies </t>
  </si>
  <si>
    <t>hours per year each.</t>
  </si>
  <si>
    <r>
      <t>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Monitoring System</t>
    </r>
  </si>
  <si>
    <t>Fingerlings/Acre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</si>
</sst>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00"/>
    <numFmt numFmtId="168" formatCode="0.0000000"/>
    <numFmt numFmtId="169" formatCode="0.000000"/>
    <numFmt numFmtId="170" formatCode="0.00000"/>
    <numFmt numFmtId="171" formatCode="0.0000"/>
    <numFmt numFmtId="172" formatCode="0.00_);[Red]\(0.00\)"/>
    <numFmt numFmtId="173" formatCode="0_);[Red]\(0\)"/>
    <numFmt numFmtId="174" formatCode="0.0_);[Red]\(0.0\)"/>
  </numFmts>
  <fonts count="3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1" fontId="1" fillId="2" borderId="1" xfId="0" applyNumberFormat="1" applyFont="1" applyFill="1" applyBorder="1" applyAlignment="1">
      <alignment/>
    </xf>
    <xf numFmtId="0" fontId="1" fillId="2" borderId="0" xfId="0" applyFont="1" applyFill="1" applyAlignment="1" quotePrefix="1">
      <alignment/>
    </xf>
    <xf numFmtId="8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173" fontId="1" fillId="2" borderId="0" xfId="0" applyNumberFormat="1" applyFont="1" applyFill="1" applyAlignment="1">
      <alignment/>
    </xf>
    <xf numFmtId="172" fontId="1" fillId="2" borderId="0" xfId="0" applyNumberFormat="1" applyFont="1" applyFill="1" applyAlignment="1">
      <alignment/>
    </xf>
    <xf numFmtId="173" fontId="1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 horizontal="right"/>
    </xf>
    <xf numFmtId="2" fontId="1" fillId="3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5" sqref="A5"/>
    </sheetView>
  </sheetViews>
  <sheetFormatPr defaultColWidth="9.140625" defaultRowHeight="12.75"/>
  <cols>
    <col min="1" max="1" width="25.28125" style="4" customWidth="1"/>
    <col min="2" max="2" width="5.57421875" style="4" customWidth="1"/>
    <col min="3" max="3" width="8.28125" style="1" customWidth="1"/>
    <col min="4" max="4" width="9.57421875" style="4" bestFit="1" customWidth="1"/>
    <col min="5" max="5" width="13.8515625" style="4" customWidth="1"/>
    <col min="6" max="6" width="12.140625" style="4" customWidth="1"/>
    <col min="7" max="7" width="10.421875" style="4" customWidth="1"/>
    <col min="8" max="16384" width="9.140625" style="4" customWidth="1"/>
  </cols>
  <sheetData>
    <row r="1" ht="12.75">
      <c r="E1" s="7" t="s">
        <v>27</v>
      </c>
    </row>
    <row r="2" spans="1:6" ht="12.75">
      <c r="A2" s="4" t="s">
        <v>110</v>
      </c>
      <c r="B2" s="25">
        <v>5000</v>
      </c>
      <c r="D2" s="4" t="s">
        <v>66</v>
      </c>
      <c r="F2" s="25">
        <v>9</v>
      </c>
    </row>
    <row r="3" spans="1:6" ht="12.75">
      <c r="A3" s="4" t="s">
        <v>49</v>
      </c>
      <c r="B3" s="25">
        <v>1.95</v>
      </c>
      <c r="D3" s="4" t="s">
        <v>52</v>
      </c>
      <c r="F3" s="25">
        <v>91</v>
      </c>
    </row>
    <row r="4" spans="1:6" ht="12.75">
      <c r="A4" s="4" t="s">
        <v>50</v>
      </c>
      <c r="B4" s="25">
        <v>2</v>
      </c>
      <c r="D4" s="4" t="s">
        <v>53</v>
      </c>
      <c r="F4" s="25">
        <v>240</v>
      </c>
    </row>
    <row r="5" spans="1:6" ht="12.75">
      <c r="A5" s="4" t="s">
        <v>51</v>
      </c>
      <c r="B5" s="25">
        <v>10</v>
      </c>
      <c r="D5" s="4" t="s">
        <v>54</v>
      </c>
      <c r="F5" s="25">
        <v>1</v>
      </c>
    </row>
    <row r="6" spans="1:6" ht="12.75">
      <c r="A6" s="4" t="s">
        <v>56</v>
      </c>
      <c r="B6" s="25">
        <v>32</v>
      </c>
      <c r="D6" s="4" t="s">
        <v>58</v>
      </c>
      <c r="F6" s="25">
        <v>1</v>
      </c>
    </row>
    <row r="7" spans="1:6" ht="12.75">
      <c r="A7" s="4" t="s">
        <v>85</v>
      </c>
      <c r="B7" s="25">
        <v>2.5</v>
      </c>
      <c r="D7" s="4" t="s">
        <v>86</v>
      </c>
      <c r="F7" s="26">
        <v>7</v>
      </c>
    </row>
    <row r="8" spans="1:6" ht="12.75">
      <c r="A8" s="4" t="s">
        <v>93</v>
      </c>
      <c r="B8" s="25">
        <v>10</v>
      </c>
      <c r="D8" s="4" t="s">
        <v>103</v>
      </c>
      <c r="F8" s="26">
        <v>10</v>
      </c>
    </row>
    <row r="9" spans="4:6" ht="12.75">
      <c r="D9" s="4" t="s">
        <v>104</v>
      </c>
      <c r="F9" s="26">
        <v>180</v>
      </c>
    </row>
    <row r="10" spans="1:6" ht="12.75">
      <c r="A10" s="4" t="s">
        <v>31</v>
      </c>
      <c r="F10" s="1"/>
    </row>
    <row r="11" spans="1:7" ht="13.5" thickBot="1">
      <c r="A11" s="2" t="s">
        <v>0</v>
      </c>
      <c r="B11" s="2" t="s">
        <v>28</v>
      </c>
      <c r="C11" s="11" t="s">
        <v>29</v>
      </c>
      <c r="D11" s="3" t="s">
        <v>30</v>
      </c>
      <c r="E11" s="3" t="s">
        <v>75</v>
      </c>
      <c r="F11" s="3" t="s">
        <v>95</v>
      </c>
      <c r="G11" s="3" t="s">
        <v>57</v>
      </c>
    </row>
    <row r="12" spans="1:7" ht="12.75">
      <c r="A12" s="4" t="s">
        <v>32</v>
      </c>
      <c r="B12" s="1"/>
      <c r="C12" s="1" t="s">
        <v>71</v>
      </c>
      <c r="D12" s="7">
        <f>B3*F5*(100-F6)/100*(100-B5)/100*$B$2*B6</f>
        <v>277991.99999999994</v>
      </c>
      <c r="E12" s="12">
        <v>0.74</v>
      </c>
      <c r="F12" s="5">
        <f>D12*E12</f>
        <v>205714.07999999996</v>
      </c>
      <c r="G12" s="5">
        <f>F12/$B$6</f>
        <v>6428.564999999999</v>
      </c>
    </row>
    <row r="13" spans="1:7" ht="12.75">
      <c r="A13" s="4" t="s">
        <v>33</v>
      </c>
      <c r="B13" s="1"/>
      <c r="D13" s="7"/>
      <c r="E13" s="12"/>
      <c r="G13" s="6"/>
    </row>
    <row r="14" spans="1:7" ht="13.5" thickBot="1">
      <c r="A14" s="2" t="s">
        <v>0</v>
      </c>
      <c r="B14" s="2" t="s">
        <v>28</v>
      </c>
      <c r="C14" s="11" t="s">
        <v>29</v>
      </c>
      <c r="D14" s="3" t="s">
        <v>30</v>
      </c>
      <c r="E14" s="3" t="s">
        <v>74</v>
      </c>
      <c r="F14" s="3" t="s">
        <v>15</v>
      </c>
      <c r="G14" s="3" t="s">
        <v>57</v>
      </c>
    </row>
    <row r="15" spans="1:7" ht="12.75">
      <c r="A15" s="4" t="s">
        <v>34</v>
      </c>
      <c r="B15" s="1"/>
      <c r="C15" s="1" t="s">
        <v>55</v>
      </c>
      <c r="D15" s="7">
        <f>F5*$B$2</f>
        <v>5000</v>
      </c>
      <c r="E15" s="27">
        <v>0.1</v>
      </c>
      <c r="F15" s="5">
        <f>B6*D15*E15</f>
        <v>16000</v>
      </c>
      <c r="G15" s="6">
        <f aca="true" t="shared" si="0" ref="G15:G30">F15/$B$6</f>
        <v>500</v>
      </c>
    </row>
    <row r="16" spans="1:7" ht="12.75">
      <c r="A16" s="4" t="s">
        <v>78</v>
      </c>
      <c r="B16" s="1"/>
      <c r="C16" s="1" t="s">
        <v>69</v>
      </c>
      <c r="D16" s="13">
        <f>D12*B3/2000</f>
        <v>271.0422</v>
      </c>
      <c r="E16" s="27">
        <v>250</v>
      </c>
      <c r="F16" s="5">
        <f>D16*E16</f>
        <v>67760.54999999999</v>
      </c>
      <c r="G16" s="6">
        <f t="shared" si="0"/>
        <v>2117.5171874999996</v>
      </c>
    </row>
    <row r="17" spans="1:7" ht="12.75">
      <c r="A17" s="4" t="s">
        <v>35</v>
      </c>
      <c r="B17" s="1"/>
      <c r="C17" s="1" t="s">
        <v>55</v>
      </c>
      <c r="D17" s="7">
        <f>F5*$B$6</f>
        <v>32</v>
      </c>
      <c r="E17" s="27">
        <v>70</v>
      </c>
      <c r="F17" s="5">
        <f>D17*E17</f>
        <v>2240</v>
      </c>
      <c r="G17" s="6">
        <f t="shared" si="0"/>
        <v>70</v>
      </c>
    </row>
    <row r="18" spans="1:7" ht="12.75">
      <c r="A18" s="4" t="s">
        <v>36</v>
      </c>
      <c r="B18" s="1"/>
      <c r="C18" s="1" t="s">
        <v>70</v>
      </c>
      <c r="D18" s="14">
        <f>F5*'cap inv.'!C9*'cap inv.'!D35</f>
        <v>270</v>
      </c>
      <c r="E18" s="27">
        <v>4.5</v>
      </c>
      <c r="F18" s="5">
        <f>D18*E18</f>
        <v>1215</v>
      </c>
      <c r="G18" s="6">
        <f t="shared" si="0"/>
        <v>37.96875</v>
      </c>
    </row>
    <row r="19" spans="1:7" ht="12.75">
      <c r="A19" s="4" t="s">
        <v>37</v>
      </c>
      <c r="B19" s="1"/>
      <c r="C19" s="1" t="s">
        <v>87</v>
      </c>
      <c r="D19" s="7">
        <f>F5</f>
        <v>1</v>
      </c>
      <c r="E19" s="12">
        <f>'cap inv.'!$B$26</f>
        <v>3480</v>
      </c>
      <c r="F19" s="5">
        <f>D19*E19</f>
        <v>3480</v>
      </c>
      <c r="G19" s="6">
        <f t="shared" si="0"/>
        <v>108.75</v>
      </c>
    </row>
    <row r="20" spans="1:7" ht="12.75">
      <c r="A20" s="4" t="s">
        <v>90</v>
      </c>
      <c r="B20" s="1"/>
      <c r="C20" s="1" t="s">
        <v>91</v>
      </c>
      <c r="D20" s="7">
        <f>F9*'cap inv.'!C11*B8*0.85*F8*F5</f>
        <v>122400</v>
      </c>
      <c r="E20" s="27">
        <f>0.075</f>
        <v>0.075</v>
      </c>
      <c r="F20" s="5">
        <f>D20*E20</f>
        <v>9180</v>
      </c>
      <c r="G20" s="6">
        <f t="shared" si="0"/>
        <v>286.875</v>
      </c>
    </row>
    <row r="21" spans="1:7" ht="12.75">
      <c r="A21" s="4" t="s">
        <v>59</v>
      </c>
      <c r="B21" s="1"/>
      <c r="C21" s="1" t="s">
        <v>70</v>
      </c>
      <c r="D21" s="7">
        <f>F4*B7*F5</f>
        <v>600</v>
      </c>
      <c r="E21" s="12">
        <f>$F$7</f>
        <v>7</v>
      </c>
      <c r="F21" s="5">
        <f>B7*D21*E21</f>
        <v>10500</v>
      </c>
      <c r="G21" s="6">
        <f t="shared" si="0"/>
        <v>328.125</v>
      </c>
    </row>
    <row r="22" spans="1:7" ht="12.75">
      <c r="A22" s="15" t="s">
        <v>38</v>
      </c>
      <c r="B22" s="16"/>
      <c r="C22" s="16" t="s">
        <v>82</v>
      </c>
      <c r="D22" s="17">
        <f>SUM(F15:F21)</f>
        <v>110375.54999999999</v>
      </c>
      <c r="E22" s="28">
        <f>F2*0.67/100</f>
        <v>0.0603</v>
      </c>
      <c r="F22" s="18">
        <f>D22*E22</f>
        <v>6655.645664999999</v>
      </c>
      <c r="G22" s="19">
        <f t="shared" si="0"/>
        <v>207.98892703124997</v>
      </c>
    </row>
    <row r="23" spans="1:7" ht="12.75">
      <c r="A23" s="4" t="s">
        <v>39</v>
      </c>
      <c r="D23" s="7"/>
      <c r="E23" s="12"/>
      <c r="F23" s="5">
        <f>SUM(F15:F22)</f>
        <v>117031.19566499999</v>
      </c>
      <c r="G23" s="6">
        <f>SUM(G15:G22)</f>
        <v>3657.2248645312498</v>
      </c>
    </row>
    <row r="24" spans="4:7" ht="12.75">
      <c r="D24" s="7"/>
      <c r="E24" s="12"/>
      <c r="F24" s="5"/>
      <c r="G24" s="6"/>
    </row>
    <row r="25" spans="1:7" ht="12.75">
      <c r="A25" s="4" t="s">
        <v>40</v>
      </c>
      <c r="D25" s="7"/>
      <c r="E25" s="12"/>
      <c r="G25" s="6"/>
    </row>
    <row r="26" spans="1:7" ht="12.75">
      <c r="A26" s="4" t="s">
        <v>42</v>
      </c>
      <c r="B26" s="1"/>
      <c r="C26" s="1" t="s">
        <v>71</v>
      </c>
      <c r="D26" s="7">
        <f>D12</f>
        <v>277991.99999999994</v>
      </c>
      <c r="E26" s="27">
        <v>0.03</v>
      </c>
      <c r="F26" s="20">
        <f>D26*E26</f>
        <v>8339.759999999998</v>
      </c>
      <c r="G26" s="6">
        <f t="shared" si="0"/>
        <v>260.61749999999995</v>
      </c>
    </row>
    <row r="27" spans="1:7" ht="12.75">
      <c r="A27" s="15" t="s">
        <v>41</v>
      </c>
      <c r="B27" s="16"/>
      <c r="C27" s="16" t="s">
        <v>71</v>
      </c>
      <c r="D27" s="21">
        <f>D12</f>
        <v>277991.99999999994</v>
      </c>
      <c r="E27" s="28">
        <v>0.08</v>
      </c>
      <c r="F27" s="18">
        <f>D27*E27</f>
        <v>22239.359999999997</v>
      </c>
      <c r="G27" s="19">
        <f t="shared" si="0"/>
        <v>694.9799999999999</v>
      </c>
    </row>
    <row r="28" spans="1:7" ht="12.75">
      <c r="A28" s="4" t="s">
        <v>43</v>
      </c>
      <c r="B28" s="1"/>
      <c r="D28" s="1"/>
      <c r="F28" s="5">
        <f>SUM(F26:F27)</f>
        <v>30579.119999999995</v>
      </c>
      <c r="G28" s="6">
        <f t="shared" si="0"/>
        <v>955.5974999999999</v>
      </c>
    </row>
    <row r="29" spans="2:7" ht="12.75">
      <c r="B29" s="1"/>
      <c r="D29" s="1"/>
      <c r="G29" s="6"/>
    </row>
    <row r="30" spans="1:7" ht="12.75">
      <c r="A30" s="4" t="s">
        <v>44</v>
      </c>
      <c r="B30" s="1"/>
      <c r="D30" s="1"/>
      <c r="F30" s="5">
        <f>F23+F28</f>
        <v>147610.315665</v>
      </c>
      <c r="G30" s="6">
        <f t="shared" si="0"/>
        <v>4612.82236453125</v>
      </c>
    </row>
    <row r="31" spans="2:7" ht="12.75">
      <c r="B31" s="1"/>
      <c r="D31" s="1"/>
      <c r="G31" s="6"/>
    </row>
    <row r="32" spans="1:7" ht="12.75">
      <c r="A32" s="4" t="s">
        <v>45</v>
      </c>
      <c r="B32" s="1"/>
      <c r="D32" s="1"/>
      <c r="G32" s="6"/>
    </row>
    <row r="33" spans="1:7" ht="12.75">
      <c r="A33" s="4" t="s">
        <v>72</v>
      </c>
      <c r="B33" s="1">
        <v>1</v>
      </c>
      <c r="D33" s="4">
        <v>1</v>
      </c>
      <c r="E33" s="5">
        <f>'cap inv.'!B24</f>
        <v>7970.7</v>
      </c>
      <c r="F33" s="5">
        <f>D33*E33</f>
        <v>7970.7</v>
      </c>
      <c r="G33" s="6">
        <f>F33/($B$6*F5)</f>
        <v>249.084375</v>
      </c>
    </row>
    <row r="34" spans="1:7" ht="12.75">
      <c r="A34" s="15" t="s">
        <v>73</v>
      </c>
      <c r="B34" s="16">
        <v>1</v>
      </c>
      <c r="C34" s="16"/>
      <c r="D34" s="15">
        <v>1</v>
      </c>
      <c r="E34" s="18">
        <f>'cap inv.'!B25</f>
        <v>5817.75</v>
      </c>
      <c r="F34" s="18">
        <f>D34*E34</f>
        <v>5817.75</v>
      </c>
      <c r="G34" s="19">
        <f>F34/($B$6*F5)</f>
        <v>181.8046875</v>
      </c>
    </row>
    <row r="35" spans="1:7" ht="12.75">
      <c r="A35" s="4" t="s">
        <v>47</v>
      </c>
      <c r="D35" s="1"/>
      <c r="F35" s="5">
        <f>SUM(F33:F34)</f>
        <v>13788.45</v>
      </c>
      <c r="G35" s="6">
        <f>SUM(G33:G34)</f>
        <v>430.8890625</v>
      </c>
    </row>
    <row r="37" spans="1:7" ht="12.75">
      <c r="A37" s="4" t="s">
        <v>48</v>
      </c>
      <c r="F37" s="5">
        <f>F30+F35</f>
        <v>161398.765665</v>
      </c>
      <c r="G37" s="6">
        <f>G30+G35</f>
        <v>5043.71142703125</v>
      </c>
    </row>
    <row r="38" spans="6:7" ht="12.75">
      <c r="F38" s="5"/>
      <c r="G38" s="6"/>
    </row>
    <row r="39" spans="1:7" ht="12.75">
      <c r="A39" s="4" t="s">
        <v>81</v>
      </c>
      <c r="F39" s="6">
        <f>F30/(D12)</f>
        <v>0.5309876387270138</v>
      </c>
      <c r="G39" s="6"/>
    </row>
    <row r="40" spans="1:7" ht="12.75">
      <c r="A40" s="4" t="s">
        <v>80</v>
      </c>
      <c r="C40" s="1" t="s">
        <v>79</v>
      </c>
      <c r="F40" s="6">
        <f>F37/(D12)</f>
        <v>0.5805878070771823</v>
      </c>
      <c r="G40" s="6"/>
    </row>
    <row r="41" spans="1:7" ht="12.75">
      <c r="A41" s="4" t="s">
        <v>94</v>
      </c>
      <c r="F41" s="22">
        <f>F12-F30</f>
        <v>58103.764334999956</v>
      </c>
      <c r="G41" s="23">
        <f>G12-G30</f>
        <v>1815.7426354687486</v>
      </c>
    </row>
    <row r="42" spans="1:7" ht="12.75">
      <c r="A42" s="4" t="s">
        <v>102</v>
      </c>
      <c r="F42" s="22">
        <f>F12-F37</f>
        <v>44315.314334999945</v>
      </c>
      <c r="G42" s="23">
        <f>G12-G37</f>
        <v>1384.8535729687483</v>
      </c>
    </row>
    <row r="43" spans="6:7" ht="12.75">
      <c r="F43" s="23"/>
      <c r="G43" s="23"/>
    </row>
    <row r="44" spans="1:7" ht="12.75">
      <c r="A44" s="4" t="s">
        <v>97</v>
      </c>
      <c r="F44" s="5"/>
      <c r="G44" s="6"/>
    </row>
    <row r="45" spans="1:7" ht="12.75">
      <c r="A45" s="4" t="s">
        <v>98</v>
      </c>
      <c r="F45" s="24">
        <f>0.59*$D$12-$F$37</f>
        <v>2616.514334999956</v>
      </c>
      <c r="G45" s="22">
        <f>F45/32</f>
        <v>81.76607296874863</v>
      </c>
    </row>
    <row r="46" spans="1:7" ht="12.75">
      <c r="A46" s="4" t="s">
        <v>99</v>
      </c>
      <c r="F46" s="24">
        <f>F42</f>
        <v>44315.314334999945</v>
      </c>
      <c r="G46" s="22">
        <f>F46/32</f>
        <v>1384.8535729687483</v>
      </c>
    </row>
    <row r="47" spans="1:7" ht="12.75">
      <c r="A47" s="4" t="s">
        <v>100</v>
      </c>
      <c r="F47" s="24">
        <f>0.79*$D$12-$F$37</f>
        <v>58214.91433499995</v>
      </c>
      <c r="G47" s="24">
        <f>F47/32</f>
        <v>1819.2160729687484</v>
      </c>
    </row>
    <row r="48" spans="6:7" ht="12.75">
      <c r="F48" s="5"/>
      <c r="G48" s="6"/>
    </row>
    <row r="49" ht="12.75">
      <c r="A49" s="4" t="s">
        <v>101</v>
      </c>
    </row>
    <row r="50" ht="12.75">
      <c r="A50" s="4" t="s">
        <v>83</v>
      </c>
    </row>
    <row r="51" ht="12.75">
      <c r="A51" s="4" t="s">
        <v>84</v>
      </c>
    </row>
  </sheetData>
  <printOptions horizontalCentered="1" verticalCentered="1"/>
  <pageMargins left="0.75" right="0.75" top="1" bottom="1" header="0.5" footer="0.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B3" sqref="B3"/>
    </sheetView>
  </sheetViews>
  <sheetFormatPr defaultColWidth="9.140625" defaultRowHeight="12.75"/>
  <cols>
    <col min="1" max="1" width="20.7109375" style="4" customWidth="1"/>
    <col min="2" max="2" width="10.421875" style="4" customWidth="1"/>
    <col min="3" max="3" width="10.00390625" style="4" customWidth="1"/>
    <col min="4" max="4" width="9.57421875" style="4" customWidth="1"/>
    <col min="5" max="5" width="10.140625" style="4" customWidth="1"/>
    <col min="6" max="6" width="7.7109375" style="4" customWidth="1"/>
    <col min="7" max="7" width="12.28125" style="4" customWidth="1"/>
    <col min="8" max="8" width="11.8515625" style="4" customWidth="1"/>
    <col min="9" max="16384" width="9.140625" style="4" customWidth="1"/>
  </cols>
  <sheetData>
    <row r="1" ht="12.75">
      <c r="C1" s="1" t="s">
        <v>16</v>
      </c>
    </row>
    <row r="2" spans="1:6" ht="12.75">
      <c r="A2" s="4" t="s">
        <v>21</v>
      </c>
      <c r="B2" s="4">
        <v>8</v>
      </c>
      <c r="C2" s="1"/>
      <c r="D2" s="4" t="s">
        <v>66</v>
      </c>
      <c r="F2" s="6">
        <v>9</v>
      </c>
    </row>
    <row r="3" spans="1:6" ht="12.75">
      <c r="A3" s="4" t="s">
        <v>17</v>
      </c>
      <c r="B3" s="4">
        <v>4</v>
      </c>
      <c r="C3" s="1"/>
      <c r="D3" s="4" t="s">
        <v>67</v>
      </c>
      <c r="F3" s="4">
        <v>1.25</v>
      </c>
    </row>
    <row r="4" spans="1:6" ht="12.75">
      <c r="A4" s="4" t="s">
        <v>18</v>
      </c>
      <c r="B4" s="7" t="s">
        <v>20</v>
      </c>
      <c r="C4" s="1"/>
      <c r="D4" s="4" t="s">
        <v>77</v>
      </c>
      <c r="F4" s="4">
        <v>5</v>
      </c>
    </row>
    <row r="6" spans="1:10" ht="13.5" thickBot="1">
      <c r="A6" s="2" t="s">
        <v>0</v>
      </c>
      <c r="B6" s="3" t="s">
        <v>13</v>
      </c>
      <c r="C6" s="3" t="s">
        <v>14</v>
      </c>
      <c r="D6" s="3" t="s">
        <v>15</v>
      </c>
      <c r="E6" s="3" t="s">
        <v>60</v>
      </c>
      <c r="F6" s="3" t="s">
        <v>61</v>
      </c>
      <c r="G6" s="2" t="s">
        <v>62</v>
      </c>
      <c r="H6" s="3" t="s">
        <v>63</v>
      </c>
      <c r="I6" s="2" t="s">
        <v>64</v>
      </c>
      <c r="J6" s="3" t="s">
        <v>65</v>
      </c>
    </row>
    <row r="7" spans="1:10" ht="12.75">
      <c r="A7" s="4" t="s">
        <v>2</v>
      </c>
      <c r="B7" s="4">
        <v>1600</v>
      </c>
      <c r="C7" s="4">
        <v>1</v>
      </c>
      <c r="D7" s="4">
        <f aca="true" t="shared" si="0" ref="D7:D22">B7*C7</f>
        <v>1600</v>
      </c>
      <c r="E7" s="4">
        <v>10</v>
      </c>
      <c r="F7" s="4">
        <v>10</v>
      </c>
      <c r="G7" s="5">
        <f>D7*(1-E7/100)/F7</f>
        <v>144</v>
      </c>
      <c r="H7" s="5">
        <f aca="true" t="shared" si="1" ref="H7:H21">(B7+E7*B7/100)*$F$2*0.5/100</f>
        <v>79.2</v>
      </c>
      <c r="I7" s="5">
        <f aca="true" t="shared" si="2" ref="I7:I21">(B7+B7*E7/100)*$F$3/100</f>
        <v>22</v>
      </c>
      <c r="J7" s="5">
        <f aca="true" t="shared" si="3" ref="J7:J21">SUM(G7:I7)</f>
        <v>245.2</v>
      </c>
    </row>
    <row r="8" spans="1:10" ht="12.75">
      <c r="A8" s="4" t="s">
        <v>89</v>
      </c>
      <c r="B8" s="4">
        <v>7000</v>
      </c>
      <c r="C8" s="4">
        <v>3</v>
      </c>
      <c r="D8" s="4">
        <f t="shared" si="0"/>
        <v>21000</v>
      </c>
      <c r="E8" s="4">
        <v>10</v>
      </c>
      <c r="F8" s="4">
        <v>10</v>
      </c>
      <c r="G8" s="5">
        <f>D8*(1-E8/100)/F8</f>
        <v>1890</v>
      </c>
      <c r="H8" s="5">
        <f t="shared" si="1"/>
        <v>346.5</v>
      </c>
      <c r="I8" s="5">
        <f t="shared" si="2"/>
        <v>96.25</v>
      </c>
      <c r="J8" s="5">
        <f t="shared" si="3"/>
        <v>2332.75</v>
      </c>
    </row>
    <row r="9" spans="1:10" ht="12.75">
      <c r="A9" s="4" t="s">
        <v>7</v>
      </c>
      <c r="B9" s="4">
        <v>4000</v>
      </c>
      <c r="C9" s="4">
        <v>2</v>
      </c>
      <c r="D9" s="4">
        <f>B9*C9</f>
        <v>8000</v>
      </c>
      <c r="E9" s="4">
        <v>0</v>
      </c>
      <c r="F9" s="4">
        <v>10</v>
      </c>
      <c r="G9" s="5">
        <f aca="true" t="shared" si="4" ref="G9:G20">D9*(1-E9/100)/F9</f>
        <v>800</v>
      </c>
      <c r="H9" s="5">
        <f>(B9+E9*B9/100)*$F$2*0.5/100</f>
        <v>180</v>
      </c>
      <c r="I9" s="5">
        <f>(B9+B9*E9/100)*$F$3/100</f>
        <v>50</v>
      </c>
      <c r="J9" s="5">
        <f>SUM(G9:I9)</f>
        <v>1030</v>
      </c>
    </row>
    <row r="10" spans="1:10" ht="12.75">
      <c r="A10" s="4" t="s">
        <v>3</v>
      </c>
      <c r="B10" s="4">
        <v>2000</v>
      </c>
      <c r="C10" s="4">
        <v>1</v>
      </c>
      <c r="D10" s="4">
        <f t="shared" si="0"/>
        <v>2000</v>
      </c>
      <c r="E10" s="4">
        <v>0</v>
      </c>
      <c r="F10" s="4">
        <v>10</v>
      </c>
      <c r="G10" s="5">
        <f t="shared" si="4"/>
        <v>200</v>
      </c>
      <c r="H10" s="5">
        <f t="shared" si="1"/>
        <v>90</v>
      </c>
      <c r="I10" s="5">
        <f t="shared" si="2"/>
        <v>25</v>
      </c>
      <c r="J10" s="5">
        <f t="shared" si="3"/>
        <v>315</v>
      </c>
    </row>
    <row r="11" spans="1:10" ht="12.75">
      <c r="A11" s="4" t="s">
        <v>92</v>
      </c>
      <c r="B11" s="4">
        <v>4000</v>
      </c>
      <c r="C11" s="4">
        <v>8</v>
      </c>
      <c r="D11" s="4">
        <f>B11*C11</f>
        <v>32000</v>
      </c>
      <c r="E11" s="4">
        <v>5</v>
      </c>
      <c r="F11" s="4">
        <v>10</v>
      </c>
      <c r="G11" s="5">
        <f t="shared" si="4"/>
        <v>3040</v>
      </c>
      <c r="H11" s="5">
        <f>(B11+E11*B11/100)*$F$2*0.5/100</f>
        <v>189</v>
      </c>
      <c r="I11" s="5">
        <f>(B11+B11*E11/100)*$F$3/100</f>
        <v>52.5</v>
      </c>
      <c r="J11" s="5">
        <f>SUM(G11:I11)</f>
        <v>3281.5</v>
      </c>
    </row>
    <row r="12" spans="1:10" ht="12.75">
      <c r="A12" s="4" t="s">
        <v>88</v>
      </c>
      <c r="B12" s="4">
        <v>5000</v>
      </c>
      <c r="C12" s="4">
        <v>1</v>
      </c>
      <c r="D12" s="4">
        <f t="shared" si="0"/>
        <v>5000</v>
      </c>
      <c r="E12" s="4">
        <v>10</v>
      </c>
      <c r="F12" s="4">
        <v>10</v>
      </c>
      <c r="G12" s="5">
        <f t="shared" si="4"/>
        <v>450</v>
      </c>
      <c r="H12" s="5">
        <f t="shared" si="1"/>
        <v>247.5</v>
      </c>
      <c r="I12" s="5">
        <f t="shared" si="2"/>
        <v>68.75</v>
      </c>
      <c r="J12" s="5">
        <f t="shared" si="3"/>
        <v>766.25</v>
      </c>
    </row>
    <row r="13" spans="1:10" ht="12.75">
      <c r="A13" s="4" t="s">
        <v>1</v>
      </c>
      <c r="B13" s="4">
        <v>3200</v>
      </c>
      <c r="C13" s="4">
        <v>1</v>
      </c>
      <c r="D13" s="4">
        <f>B13*C13</f>
        <v>3200</v>
      </c>
      <c r="E13" s="4">
        <v>0</v>
      </c>
      <c r="F13" s="4">
        <v>15</v>
      </c>
      <c r="G13" s="5">
        <f t="shared" si="4"/>
        <v>213.33333333333334</v>
      </c>
      <c r="H13" s="5">
        <f>(B13+E13*B13/100)*$F$2*0.5/100</f>
        <v>144</v>
      </c>
      <c r="I13" s="5">
        <f>(B13+B13*E13/100)*$F$3/100</f>
        <v>40</v>
      </c>
      <c r="J13" s="5">
        <f>SUM(G13:I13)</f>
        <v>397.33333333333337</v>
      </c>
    </row>
    <row r="14" spans="1:10" ht="12.75">
      <c r="A14" s="4" t="s">
        <v>4</v>
      </c>
      <c r="B14" s="4">
        <v>10000</v>
      </c>
      <c r="C14" s="4">
        <v>1</v>
      </c>
      <c r="D14" s="4">
        <f>B14*C14</f>
        <v>10000</v>
      </c>
      <c r="E14" s="4">
        <v>0</v>
      </c>
      <c r="F14" s="4">
        <v>15</v>
      </c>
      <c r="G14" s="5">
        <f t="shared" si="4"/>
        <v>666.6666666666666</v>
      </c>
      <c r="H14" s="5">
        <f>(B14+E14*B14/100)*$F$2*0.5/100</f>
        <v>450</v>
      </c>
      <c r="I14" s="5">
        <f>(B14+B14*E14/100)*$F$3/100</f>
        <v>125</v>
      </c>
      <c r="J14" s="5">
        <f>SUM(G14:I14)</f>
        <v>1241.6666666666665</v>
      </c>
    </row>
    <row r="15" spans="1:10" ht="12.75">
      <c r="A15" s="4" t="s">
        <v>5</v>
      </c>
      <c r="B15" s="4">
        <v>500</v>
      </c>
      <c r="C15" s="4">
        <v>1</v>
      </c>
      <c r="D15" s="4">
        <f t="shared" si="0"/>
        <v>500</v>
      </c>
      <c r="E15" s="4">
        <v>0</v>
      </c>
      <c r="F15" s="4">
        <v>5</v>
      </c>
      <c r="G15" s="5">
        <f t="shared" si="4"/>
        <v>100</v>
      </c>
      <c r="H15" s="5">
        <f t="shared" si="1"/>
        <v>22.5</v>
      </c>
      <c r="I15" s="5">
        <f t="shared" si="2"/>
        <v>6.25</v>
      </c>
      <c r="J15" s="5">
        <f t="shared" si="3"/>
        <v>128.75</v>
      </c>
    </row>
    <row r="16" spans="1:10" ht="14.25">
      <c r="A16" s="4" t="s">
        <v>109</v>
      </c>
      <c r="B16" s="4">
        <v>2000</v>
      </c>
      <c r="C16" s="4">
        <v>4</v>
      </c>
      <c r="D16" s="4">
        <f t="shared" si="0"/>
        <v>8000</v>
      </c>
      <c r="E16" s="4">
        <v>10</v>
      </c>
      <c r="F16" s="4">
        <v>10</v>
      </c>
      <c r="G16" s="5">
        <f t="shared" si="4"/>
        <v>720</v>
      </c>
      <c r="H16" s="5">
        <f t="shared" si="1"/>
        <v>99</v>
      </c>
      <c r="I16" s="5">
        <f t="shared" si="2"/>
        <v>27.5</v>
      </c>
      <c r="J16" s="5">
        <f t="shared" si="3"/>
        <v>846.5</v>
      </c>
    </row>
    <row r="17" spans="1:10" ht="12.75">
      <c r="A17" s="4" t="s">
        <v>6</v>
      </c>
      <c r="B17" s="4">
        <v>200</v>
      </c>
      <c r="C17" s="4">
        <v>1</v>
      </c>
      <c r="D17" s="4">
        <f t="shared" si="0"/>
        <v>200</v>
      </c>
      <c r="E17" s="4">
        <v>0</v>
      </c>
      <c r="F17" s="4">
        <v>5</v>
      </c>
      <c r="G17" s="5">
        <f t="shared" si="4"/>
        <v>40</v>
      </c>
      <c r="H17" s="5">
        <f t="shared" si="1"/>
        <v>9</v>
      </c>
      <c r="I17" s="5">
        <f t="shared" si="2"/>
        <v>2.5</v>
      </c>
      <c r="J17" s="5">
        <f t="shared" si="3"/>
        <v>51.5</v>
      </c>
    </row>
    <row r="18" spans="1:10" ht="12.75">
      <c r="A18" s="4" t="s">
        <v>8</v>
      </c>
      <c r="B18" s="4">
        <v>6500</v>
      </c>
      <c r="C18" s="4">
        <v>1</v>
      </c>
      <c r="D18" s="4">
        <f t="shared" si="0"/>
        <v>6500</v>
      </c>
      <c r="E18" s="4">
        <v>100</v>
      </c>
      <c r="F18" s="4">
        <v>20</v>
      </c>
      <c r="G18" s="5">
        <f t="shared" si="4"/>
        <v>0</v>
      </c>
      <c r="H18" s="5">
        <f t="shared" si="1"/>
        <v>585</v>
      </c>
      <c r="I18" s="5">
        <f t="shared" si="2"/>
        <v>162.5</v>
      </c>
      <c r="J18" s="5">
        <f t="shared" si="3"/>
        <v>747.5</v>
      </c>
    </row>
    <row r="19" spans="1:10" ht="12.75">
      <c r="A19" s="4" t="s">
        <v>9</v>
      </c>
      <c r="B19" s="4">
        <v>3500</v>
      </c>
      <c r="C19" s="4">
        <v>1</v>
      </c>
      <c r="D19" s="4">
        <f t="shared" si="0"/>
        <v>3500</v>
      </c>
      <c r="E19" s="4">
        <v>10</v>
      </c>
      <c r="F19" s="4">
        <v>12</v>
      </c>
      <c r="G19" s="5">
        <f t="shared" si="4"/>
        <v>262.5</v>
      </c>
      <c r="H19" s="5">
        <f t="shared" si="1"/>
        <v>173.25</v>
      </c>
      <c r="I19" s="5">
        <f t="shared" si="2"/>
        <v>48.125</v>
      </c>
      <c r="J19" s="5">
        <f t="shared" si="3"/>
        <v>483.875</v>
      </c>
    </row>
    <row r="20" spans="1:10" ht="12.75">
      <c r="A20" s="4" t="s">
        <v>10</v>
      </c>
      <c r="B20" s="4">
        <v>750</v>
      </c>
      <c r="C20" s="4">
        <v>1</v>
      </c>
      <c r="D20" s="4">
        <f t="shared" si="0"/>
        <v>750</v>
      </c>
      <c r="E20" s="4">
        <v>0</v>
      </c>
      <c r="F20" s="4">
        <v>20</v>
      </c>
      <c r="G20" s="5">
        <f t="shared" si="4"/>
        <v>37.5</v>
      </c>
      <c r="H20" s="5">
        <f t="shared" si="1"/>
        <v>33.75</v>
      </c>
      <c r="I20" s="5">
        <f t="shared" si="2"/>
        <v>9.375</v>
      </c>
      <c r="J20" s="5">
        <f t="shared" si="3"/>
        <v>80.625</v>
      </c>
    </row>
    <row r="21" spans="1:10" ht="12.75">
      <c r="A21" s="4" t="s">
        <v>11</v>
      </c>
      <c r="B21" s="4">
        <v>16000</v>
      </c>
      <c r="C21" s="4">
        <v>4</v>
      </c>
      <c r="D21" s="4">
        <f t="shared" si="0"/>
        <v>64000</v>
      </c>
      <c r="E21" s="4">
        <v>100</v>
      </c>
      <c r="F21" s="4">
        <v>20</v>
      </c>
      <c r="G21" s="5">
        <f>B21*(1-E21/100)/F21</f>
        <v>0</v>
      </c>
      <c r="H21" s="5">
        <f t="shared" si="1"/>
        <v>1440</v>
      </c>
      <c r="I21" s="5">
        <f t="shared" si="2"/>
        <v>400</v>
      </c>
      <c r="J21" s="5">
        <f t="shared" si="3"/>
        <v>1840</v>
      </c>
    </row>
    <row r="22" spans="1:10" ht="13.5" thickBot="1">
      <c r="A22" s="2" t="s">
        <v>12</v>
      </c>
      <c r="B22" s="2">
        <v>0</v>
      </c>
      <c r="C22" s="2">
        <v>0</v>
      </c>
      <c r="D22" s="2">
        <f t="shared" si="0"/>
        <v>0</v>
      </c>
      <c r="E22" s="2">
        <v>0</v>
      </c>
      <c r="F22" s="2">
        <v>0</v>
      </c>
      <c r="G22" s="8"/>
      <c r="H22" s="2"/>
      <c r="I22" s="2"/>
      <c r="J22" s="2"/>
    </row>
    <row r="23" spans="1:10" ht="12.75">
      <c r="A23" s="4" t="s">
        <v>19</v>
      </c>
      <c r="D23" s="4">
        <f>SUM(D7:D22)</f>
        <v>166250</v>
      </c>
      <c r="J23" s="5">
        <f>SUM(J7:J22)</f>
        <v>13788.449999999999</v>
      </c>
    </row>
    <row r="24" spans="1:10" ht="12.75">
      <c r="A24" s="4" t="s">
        <v>46</v>
      </c>
      <c r="B24" s="5">
        <f>SUM(J7:J12)</f>
        <v>7970.7</v>
      </c>
      <c r="J24" s="5"/>
    </row>
    <row r="25" spans="1:10" ht="12.75">
      <c r="A25" s="4" t="s">
        <v>68</v>
      </c>
      <c r="B25" s="5">
        <f>SUM(J13:J21)</f>
        <v>5817.75</v>
      </c>
      <c r="J25" s="5"/>
    </row>
    <row r="26" spans="1:10" ht="12.75">
      <c r="A26" s="4" t="s">
        <v>76</v>
      </c>
      <c r="B26" s="4">
        <f>SUM(D7:D12)*F4*0.01</f>
        <v>3480</v>
      </c>
      <c r="J26" s="5"/>
    </row>
    <row r="28" ht="12.75">
      <c r="A28" s="4" t="s">
        <v>22</v>
      </c>
    </row>
    <row r="29" ht="12.75">
      <c r="A29" s="4" t="s">
        <v>23</v>
      </c>
    </row>
    <row r="30" ht="12.75">
      <c r="A30" s="9" t="s">
        <v>24</v>
      </c>
    </row>
    <row r="31" spans="1:8" ht="12.75">
      <c r="A31" s="9" t="s">
        <v>25</v>
      </c>
      <c r="H31" s="10"/>
    </row>
    <row r="32" ht="12.75">
      <c r="A32" s="9" t="s">
        <v>106</v>
      </c>
    </row>
    <row r="33" ht="12.75">
      <c r="A33" s="9" t="s">
        <v>105</v>
      </c>
    </row>
    <row r="34" ht="12.75">
      <c r="A34" s="9" t="s">
        <v>96</v>
      </c>
    </row>
    <row r="35" spans="1:5" ht="12.75">
      <c r="A35" s="9" t="s">
        <v>107</v>
      </c>
      <c r="D35" s="1">
        <v>135</v>
      </c>
      <c r="E35" s="4" t="s">
        <v>108</v>
      </c>
    </row>
    <row r="36" ht="12.75">
      <c r="A36" s="9" t="s">
        <v>26</v>
      </c>
    </row>
  </sheetData>
  <printOptions/>
  <pageMargins left="0.75" right="0.75" top="1" bottom="1" header="0.5" footer="0.5"/>
  <pageSetup blackAndWhite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 /IFAS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L. Smith</dc:creator>
  <cp:keywords/>
  <dc:description/>
  <cp:lastModifiedBy>Laurie Osborne</cp:lastModifiedBy>
  <cp:lastPrinted>2002-12-17T15:28:30Z</cp:lastPrinted>
  <dcterms:created xsi:type="dcterms:W3CDTF">2002-11-14T14:43:57Z</dcterms:created>
  <dcterms:modified xsi:type="dcterms:W3CDTF">2005-01-13T16:17:48Z</dcterms:modified>
  <cp:category/>
  <cp:version/>
  <cp:contentType/>
  <cp:contentStatus/>
</cp:coreProperties>
</file>